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6fee1b148e0d829d/Desktop/"/>
    </mc:Choice>
  </mc:AlternateContent>
  <xr:revisionPtr revIDLastSave="3" documentId="13_ncr:1_{ACD208CE-09BA-47B6-8969-7834BB7AF692}" xr6:coauthVersionLast="47" xr6:coauthVersionMax="47" xr10:uidLastSave="{9C8B69F3-16DF-4F9B-867D-34C0964818C4}"/>
  <bookViews>
    <workbookView xWindow="-120" yWindow="-120" windowWidth="29040" windowHeight="15840" tabRatio="590" xr2:uid="{00000000-000D-0000-FFFF-FFFF00000000}"/>
  </bookViews>
  <sheets>
    <sheet name="Sheet1" sheetId="1" r:id="rId1"/>
  </sheets>
  <definedNames>
    <definedName name="_xlnm.Print_Area" localSheetId="0">Sheet1!$B$2:$Q$49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21" i="1"/>
  <c r="V20" i="1"/>
  <c r="V21" i="1" s="1"/>
  <c r="H21" i="1"/>
  <c r="G21" i="1"/>
  <c r="V11" i="1"/>
  <c r="V10" i="1"/>
  <c r="K41" i="1"/>
  <c r="K43" i="1"/>
  <c r="K25" i="1"/>
  <c r="V12" i="1" l="1"/>
  <c r="V14" i="1" s="1"/>
  <c r="V15" i="1" s="1"/>
  <c r="K28" i="1"/>
  <c r="K45" i="1"/>
  <c r="K39" i="1"/>
  <c r="K29" i="1"/>
  <c r="K42" i="1"/>
  <c r="K47" i="1" s="1"/>
  <c r="K24" i="1"/>
  <c r="G24" i="1"/>
  <c r="L16" i="1"/>
  <c r="L21" i="1" s="1"/>
  <c r="V17" i="1" l="1"/>
  <c r="K33" i="1"/>
  <c r="K37" i="1" s="1"/>
  <c r="K32" i="1"/>
  <c r="J21" i="1"/>
  <c r="F24" i="1"/>
  <c r="L24" i="1"/>
  <c r="I24" i="1"/>
  <c r="G43" i="1"/>
  <c r="E24" i="1"/>
  <c r="M21" i="1"/>
  <c r="M24" i="1" s="1"/>
  <c r="H24" i="1"/>
  <c r="N21" i="1"/>
  <c r="N24" i="1" s="1"/>
  <c r="O21" i="1"/>
  <c r="O24" i="1" s="1"/>
  <c r="K40" i="1" l="1"/>
  <c r="K46" i="1" s="1"/>
  <c r="J24" i="1"/>
  <c r="H25" i="1"/>
  <c r="L25" i="1"/>
  <c r="M25" i="1"/>
  <c r="N25" i="1"/>
  <c r="O25" i="1"/>
  <c r="J25" i="1"/>
  <c r="G25" i="1"/>
  <c r="G26" i="1" s="1"/>
  <c r="I25" i="1"/>
  <c r="C13" i="1" l="1"/>
  <c r="F43" i="1" l="1"/>
  <c r="F25" i="1" l="1"/>
  <c r="F28" i="1" l="1"/>
  <c r="F29" i="1"/>
  <c r="F30" i="1" s="1"/>
  <c r="F42" i="1"/>
  <c r="O41" i="1"/>
  <c r="F32" i="1" l="1"/>
  <c r="O39" i="1"/>
  <c r="O45" i="1" s="1"/>
  <c r="O29" i="1"/>
  <c r="O42" i="1"/>
  <c r="O47" i="1" s="1"/>
  <c r="O28" i="1"/>
  <c r="F41" i="1" l="1"/>
  <c r="F47" i="1" s="1"/>
  <c r="F39" i="1"/>
  <c r="F45" i="1"/>
  <c r="F33" i="1"/>
  <c r="F37" i="1" s="1"/>
  <c r="F40" i="1" s="1"/>
  <c r="F46" i="1" s="1"/>
  <c r="O32" i="1"/>
  <c r="O33" i="1"/>
  <c r="O37" i="1" s="1"/>
  <c r="L29" i="1"/>
  <c r="I29" i="1"/>
  <c r="I30" i="1" s="1"/>
  <c r="J29" i="1"/>
  <c r="G29" i="1"/>
  <c r="I32" i="1" l="1"/>
  <c r="E25" i="1"/>
  <c r="E26" i="1" s="1"/>
  <c r="O40" i="1"/>
  <c r="O46" i="1" s="1"/>
  <c r="E29" i="1" l="1"/>
  <c r="E43" i="1"/>
  <c r="Q38" i="1"/>
  <c r="E41" i="1" l="1"/>
  <c r="E32" i="1"/>
  <c r="E33" i="1"/>
  <c r="E37" i="1" s="1"/>
  <c r="E28" i="1"/>
  <c r="H43" i="1"/>
  <c r="I43" i="1"/>
  <c r="I41" i="1"/>
  <c r="E40" i="1" l="1"/>
  <c r="E46" i="1" s="1"/>
  <c r="E42" i="1"/>
  <c r="E47" i="1" s="1"/>
  <c r="E45" i="1"/>
  <c r="E39" i="1"/>
  <c r="J39" i="1"/>
  <c r="I39" i="1" l="1"/>
  <c r="I42" i="1"/>
  <c r="I47" i="1" s="1"/>
  <c r="I28" i="1"/>
  <c r="G39" i="1" l="1"/>
  <c r="Q39" i="1"/>
  <c r="N41" i="1" l="1"/>
  <c r="N43" i="1"/>
  <c r="J41" i="1"/>
  <c r="L41" i="1"/>
  <c r="J43" i="1"/>
  <c r="L43" i="1"/>
  <c r="M43" i="1"/>
  <c r="G42" i="1"/>
  <c r="L39" i="1"/>
  <c r="J42" i="1" l="1"/>
  <c r="J47" i="1" s="1"/>
  <c r="L42" i="1"/>
  <c r="L47" i="1" s="1"/>
  <c r="J28" i="1"/>
  <c r="L28" i="1"/>
  <c r="I33" i="1"/>
  <c r="L45" i="1"/>
  <c r="J45" i="1"/>
  <c r="L32" i="1"/>
  <c r="M29" i="1"/>
  <c r="M30" i="1" s="1"/>
  <c r="M32" i="1" l="1"/>
  <c r="N29" i="1"/>
  <c r="N33" i="1" s="1"/>
  <c r="N37" i="1" s="1"/>
  <c r="M28" i="1"/>
  <c r="M39" i="1"/>
  <c r="M42" i="1"/>
  <c r="I45" i="1"/>
  <c r="J33" i="1"/>
  <c r="J37" i="1" s="1"/>
  <c r="L33" i="1"/>
  <c r="L37" i="1" s="1"/>
  <c r="L40" i="1" s="1"/>
  <c r="L46" i="1" s="1"/>
  <c r="J32" i="1"/>
  <c r="N45" i="1" l="1"/>
  <c r="N32" i="1"/>
  <c r="N28" i="1"/>
  <c r="N42" i="1"/>
  <c r="N47" i="1" s="1"/>
  <c r="N39" i="1"/>
  <c r="J40" i="1"/>
  <c r="J46" i="1" s="1"/>
  <c r="I37" i="1"/>
  <c r="I40" i="1" s="1"/>
  <c r="I46" i="1" s="1"/>
  <c r="M41" i="1"/>
  <c r="M47" i="1" s="1"/>
  <c r="M33" i="1"/>
  <c r="M37" i="1" s="1"/>
  <c r="M45" i="1"/>
  <c r="N40" i="1" l="1"/>
  <c r="N46" i="1" s="1"/>
  <c r="M40" i="1"/>
  <c r="M46" i="1" s="1"/>
  <c r="G28" i="1" l="1"/>
  <c r="G45" i="1"/>
  <c r="G41" i="1" l="1"/>
  <c r="G47" i="1" s="1"/>
  <c r="G33" i="1" l="1"/>
  <c r="G37" i="1" s="1"/>
  <c r="G32" i="1"/>
  <c r="G40" i="1" l="1"/>
  <c r="G46" i="1" s="1"/>
  <c r="H42" i="1" l="1"/>
  <c r="H29" i="1"/>
  <c r="H30" i="1" s="1"/>
  <c r="H28" i="1"/>
  <c r="H33" i="1" l="1"/>
  <c r="H45" i="1" l="1"/>
  <c r="H41" i="1"/>
  <c r="H47" i="1" s="1"/>
  <c r="H32" i="1"/>
  <c r="H40" i="1" s="1"/>
  <c r="H46" i="1" s="1"/>
  <c r="H39" i="1"/>
</calcChain>
</file>

<file path=xl/sharedStrings.xml><?xml version="1.0" encoding="utf-8"?>
<sst xmlns="http://schemas.openxmlformats.org/spreadsheetml/2006/main" count="96" uniqueCount="70">
  <si>
    <t xml:space="preserve"> ООО "ZUMA-PHARM"</t>
  </si>
  <si>
    <t>Серия</t>
  </si>
  <si>
    <t>Годен до</t>
  </si>
  <si>
    <t>Цех №</t>
  </si>
  <si>
    <t>Наименование сырья, упаковочного материала и НД</t>
  </si>
  <si>
    <t>Персонал</t>
  </si>
  <si>
    <t>Единица измерения</t>
  </si>
  <si>
    <t>шт</t>
  </si>
  <si>
    <t>Дата производства</t>
  </si>
  <si>
    <t>Возврат на склад</t>
  </si>
  <si>
    <t>Остаток с предыдущей серии</t>
  </si>
  <si>
    <t>Получено со склада в цех</t>
  </si>
  <si>
    <t xml:space="preserve">Потерие по траспортировке и декартонирования </t>
  </si>
  <si>
    <t>Поступило</t>
  </si>
  <si>
    <t xml:space="preserve">Брак в процессе </t>
  </si>
  <si>
    <t>Заводской брак</t>
  </si>
  <si>
    <t>%</t>
  </si>
  <si>
    <t>Использовано для серии</t>
  </si>
  <si>
    <t>Теор расход по норме</t>
  </si>
  <si>
    <t>Разинца</t>
  </si>
  <si>
    <t>Остаток после серии</t>
  </si>
  <si>
    <t>Маркировка</t>
  </si>
  <si>
    <t>Потери*</t>
  </si>
  <si>
    <t>Реглам.% потерь</t>
  </si>
  <si>
    <t>Фактич.% потерь</t>
  </si>
  <si>
    <t>Картнажная упаковка</t>
  </si>
  <si>
    <t>Норма</t>
  </si>
  <si>
    <t>Факт</t>
  </si>
  <si>
    <t>Брак</t>
  </si>
  <si>
    <t>Отбор для анализа</t>
  </si>
  <si>
    <t>После стер.</t>
  </si>
  <si>
    <t>после уп.</t>
  </si>
  <si>
    <t>Итого</t>
  </si>
  <si>
    <t>упаковок</t>
  </si>
  <si>
    <t>В т.ч. сырьё и материалы</t>
  </si>
  <si>
    <t>Общие потери при производстве</t>
  </si>
  <si>
    <t>(%)</t>
  </si>
  <si>
    <t>(кг., шт.)</t>
  </si>
  <si>
    <t>Регламентир.нормы потерь</t>
  </si>
  <si>
    <t>Заключения    (-)</t>
  </si>
  <si>
    <t>Нач.производство:</t>
  </si>
  <si>
    <t>Нач.смена:</t>
  </si>
  <si>
    <t>материальный бухгалтер</t>
  </si>
  <si>
    <t>Nosirov M</t>
  </si>
  <si>
    <t xml:space="preserve">  </t>
  </si>
  <si>
    <t>PK</t>
  </si>
  <si>
    <t>VIAL</t>
  </si>
  <si>
    <t>Предоставление кодов маркировки (Лекарство)</t>
  </si>
  <si>
    <t>директор  _____________________</t>
  </si>
  <si>
    <t xml:space="preserve">  _________  _________2025 г. </t>
  </si>
  <si>
    <t>Риббон лента 25мм*100	метр (Rıbbon hot foıl) (Вайл) ОСН/Ribbon (vile)</t>
  </si>
  <si>
    <t>Инструкция Атокса (ЗУМА) /Leaflet Atoxa (ZUMA)</t>
  </si>
  <si>
    <t>Самоклейка Оксикам Нео (ОСН)/Self-adhesive sticker for</t>
  </si>
  <si>
    <t>vaz sam</t>
  </si>
  <si>
    <t>Пенал Оксикам Нео (ОСН)/Box</t>
  </si>
  <si>
    <t>Оксикам Нео ВДИ 2ml</t>
  </si>
  <si>
    <t>vaz suv</t>
  </si>
  <si>
    <t>vaz inst</t>
  </si>
  <si>
    <t>Гофра коробка (470х260х225) 3 слой</t>
  </si>
  <si>
    <t>ПВХ 0,3мм 320мм (ОСН)/PVC 0,3mm 320mm</t>
  </si>
  <si>
    <t>kg</t>
  </si>
  <si>
    <t>Термоэтикетика 58х40мм (тарози учун)</t>
  </si>
  <si>
    <t>TNC0242501</t>
  </si>
  <si>
    <t>Oxicam neo</t>
  </si>
  <si>
    <t>Самоклеящаяся лента (скотч) 4,5 х150 м цветной</t>
  </si>
  <si>
    <t>TNC0242501, 01.09.2027, УЗБЕКИСТАН</t>
  </si>
  <si>
    <t>Якубов Ш</t>
  </si>
  <si>
    <t>Фозилов Н</t>
  </si>
  <si>
    <t>Директора по фин. вопросам</t>
  </si>
  <si>
    <t>Vipin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</si>
</sst>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0.0"/>
    <numFmt numFmtId="166" formatCode="0.0000"/>
    <numFmt numFmtId="167" formatCode="0.000"/>
    <numFmt numFmtId="168" formatCode="#\ ##0_ ;[Red]\-#\ ##0\ 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sz val="8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name val="Arial Cyr"/>
      <charset val="204"/>
    </font>
    <font>
      <sz val="12"/>
      <color theme="1"/>
      <name val="Calibri"/>
      <family val="2"/>
      <scheme val="minor"/>
    </font>
    <font>
      <sz val="12"/>
      <name val="Arial Cyr"/>
      <charset val="204"/>
    </font>
    <font>
      <sz val="12"/>
      <color theme="1"/>
      <name val="Arial Cyr"/>
      <charset val="204"/>
    </font>
    <font>
      <b/>
      <sz val="12"/>
      <color theme="1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name val="Arial Cyr"/>
      <charset val="204"/>
    </font>
    <font>
      <b/>
      <sz val="18"/>
      <name val="Arial Cyr"/>
      <charset val="204"/>
    </font>
    <font>
      <sz val="16"/>
      <color theme="1"/>
      <name val="Calibri"/>
      <family val="2"/>
      <scheme val="minor"/>
    </font>
    <font>
      <sz val="14"/>
      <name val="Tahoma"/>
      <family val="2"/>
      <charset val="204"/>
    </font>
    <font>
      <sz val="14"/>
      <color theme="1"/>
      <name val="Tahoma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name val="Arial Cyr"/>
      <charset val="204"/>
    </font>
    <font>
      <sz val="2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FF0000"/>
      <name val="Arial Cyr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0">
    <xf numFmtId="0" fontId="0" fillId="0" borderId="0" xfId="0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49" fontId="5" fillId="2" borderId="0" xfId="0" applyNumberFormat="1" applyFont="1" applyFill="1" applyAlignment="1">
      <alignment horizontal="center" vertical="center"/>
    </xf>
    <xf numFmtId="2" fontId="0" fillId="0" borderId="0" xfId="0" applyNumberFormat="1"/>
    <xf numFmtId="168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4" fillId="0" borderId="0" xfId="1" applyFont="1" applyAlignment="1">
      <alignment horizontal="right"/>
    </xf>
    <xf numFmtId="0" fontId="6" fillId="0" borderId="5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1" fontId="0" fillId="0" borderId="0" xfId="0" applyNumberFormat="1"/>
    <xf numFmtId="0" fontId="2" fillId="0" borderId="0" xfId="0" applyFont="1" applyAlignment="1">
      <alignment wrapText="1"/>
    </xf>
    <xf numFmtId="0" fontId="4" fillId="0" borderId="0" xfId="1" applyFont="1"/>
    <xf numFmtId="49" fontId="5" fillId="2" borderId="12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0" fontId="14" fillId="3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/>
    </xf>
    <xf numFmtId="10" fontId="13" fillId="2" borderId="1" xfId="0" applyNumberFormat="1" applyFont="1" applyFill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67" fontId="13" fillId="11" borderId="1" xfId="0" applyNumberFormat="1" applyFont="1" applyFill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/>
    </xf>
    <xf numFmtId="1" fontId="13" fillId="7" borderId="1" xfId="0" applyNumberFormat="1" applyFont="1" applyFill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6" fontId="19" fillId="5" borderId="1" xfId="0" applyNumberFormat="1" applyFont="1" applyFill="1" applyBorder="1" applyAlignment="1">
      <alignment horizontal="center"/>
    </xf>
    <xf numFmtId="10" fontId="20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11" xfId="0" applyFont="1" applyBorder="1" applyAlignment="1">
      <alignment vertical="center"/>
    </xf>
    <xf numFmtId="49" fontId="13" fillId="2" borderId="11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/>
    </xf>
    <xf numFmtId="1" fontId="13" fillId="5" borderId="11" xfId="0" applyNumberFormat="1" applyFont="1" applyFill="1" applyBorder="1" applyAlignment="1">
      <alignment horizontal="center" vertical="center"/>
    </xf>
    <xf numFmtId="10" fontId="2" fillId="3" borderId="11" xfId="0" applyNumberFormat="1" applyFont="1" applyFill="1" applyBorder="1" applyAlignment="1">
      <alignment horizontal="center" vertical="center"/>
    </xf>
    <xf numFmtId="10" fontId="13" fillId="2" borderId="11" xfId="0" applyNumberFormat="1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10" fontId="14" fillId="3" borderId="11" xfId="0" applyNumberFormat="1" applyFont="1" applyFill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10" fontId="13" fillId="0" borderId="11" xfId="0" applyNumberFormat="1" applyFont="1" applyBorder="1" applyAlignment="1">
      <alignment horizontal="center" vertical="center"/>
    </xf>
    <xf numFmtId="167" fontId="13" fillId="11" borderId="11" xfId="0" applyNumberFormat="1" applyFont="1" applyFill="1" applyBorder="1" applyAlignment="1">
      <alignment horizontal="center" vertical="center"/>
    </xf>
    <xf numFmtId="167" fontId="14" fillId="0" borderId="11" xfId="0" applyNumberFormat="1" applyFont="1" applyBorder="1" applyAlignment="1">
      <alignment horizontal="center" vertical="center"/>
    </xf>
    <xf numFmtId="1" fontId="13" fillId="7" borderId="11" xfId="0" applyNumberFormat="1" applyFont="1" applyFill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13" fillId="4" borderId="1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1" fontId="25" fillId="10" borderId="1" xfId="0" applyNumberFormat="1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1" fontId="24" fillId="4" borderId="1" xfId="0" applyNumberFormat="1" applyFont="1" applyFill="1" applyBorder="1" applyAlignment="1">
      <alignment horizontal="center" vertical="center"/>
    </xf>
    <xf numFmtId="10" fontId="24" fillId="4" borderId="1" xfId="0" applyNumberFormat="1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/>
    </xf>
    <xf numFmtId="49" fontId="27" fillId="0" borderId="0" xfId="0" applyNumberFormat="1" applyFont="1"/>
    <xf numFmtId="0" fontId="27" fillId="0" borderId="0" xfId="0" applyFont="1"/>
    <xf numFmtId="0" fontId="23" fillId="0" borderId="0" xfId="0" applyFont="1"/>
    <xf numFmtId="0" fontId="26" fillId="0" borderId="9" xfId="0" applyFont="1" applyBorder="1"/>
    <xf numFmtId="1" fontId="25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0" fontId="2" fillId="4" borderId="1" xfId="0" applyNumberFormat="1" applyFont="1" applyFill="1" applyBorder="1" applyAlignment="1">
      <alignment horizontal="center" vertical="center"/>
    </xf>
    <xf numFmtId="10" fontId="2" fillId="4" borderId="1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29" fillId="0" borderId="0" xfId="0" applyFont="1"/>
    <xf numFmtId="0" fontId="30" fillId="0" borderId="5" xfId="0" applyFont="1" applyBorder="1" applyAlignment="1">
      <alignment horizontal="center" vertical="center" wrapText="1"/>
    </xf>
    <xf numFmtId="1" fontId="14" fillId="9" borderId="1" xfId="0" applyNumberFormat="1" applyFont="1" applyFill="1" applyBorder="1" applyAlignment="1">
      <alignment horizontal="center" vertical="center"/>
    </xf>
    <xf numFmtId="10" fontId="14" fillId="6" borderId="1" xfId="0" applyNumberFormat="1" applyFont="1" applyFill="1" applyBorder="1" applyAlignment="1">
      <alignment horizontal="center" vertical="center"/>
    </xf>
    <xf numFmtId="0" fontId="4" fillId="0" borderId="10" xfId="1" applyFont="1" applyBorder="1"/>
    <xf numFmtId="0" fontId="1" fillId="2" borderId="0" xfId="0" applyFont="1" applyFill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" fontId="14" fillId="9" borderId="11" xfId="0" applyNumberFormat="1" applyFont="1" applyFill="1" applyBorder="1" applyAlignment="1">
      <alignment horizontal="center" vertical="center"/>
    </xf>
    <xf numFmtId="10" fontId="14" fillId="6" borderId="11" xfId="0" applyNumberFormat="1" applyFont="1" applyFill="1" applyBorder="1" applyAlignment="1">
      <alignment horizontal="center" vertical="center"/>
    </xf>
    <xf numFmtId="0" fontId="32" fillId="0" borderId="0" xfId="0" applyFont="1"/>
    <xf numFmtId="0" fontId="33" fillId="0" borderId="0" xfId="0" applyFont="1"/>
    <xf numFmtId="49" fontId="32" fillId="0" borderId="0" xfId="0" applyNumberFormat="1" applyFont="1"/>
    <xf numFmtId="0" fontId="32" fillId="0" borderId="0" xfId="0" applyFont="1" applyAlignment="1">
      <alignment horizontal="left"/>
    </xf>
    <xf numFmtId="0" fontId="27" fillId="0" borderId="20" xfId="0" applyFont="1" applyBorder="1"/>
    <xf numFmtId="0" fontId="27" fillId="0" borderId="21" xfId="0" applyFont="1" applyBorder="1"/>
    <xf numFmtId="0" fontId="22" fillId="0" borderId="10" xfId="1" applyFont="1" applyBorder="1"/>
    <xf numFmtId="49" fontId="2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2" fontId="5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31" fillId="0" borderId="5" xfId="0" applyNumberFormat="1" applyFont="1" applyBorder="1" applyAlignment="1">
      <alignment horizontal="center" vertical="center" wrapText="1"/>
    </xf>
    <xf numFmtId="49" fontId="31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22" fontId="5" fillId="0" borderId="1" xfId="0" applyNumberFormat="1" applyFont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4" fillId="8" borderId="1" xfId="0" applyFont="1" applyFill="1" applyBorder="1" applyAlignment="1">
      <alignment horizontal="center" vertical="center"/>
    </xf>
    <xf numFmtId="1" fontId="34" fillId="8" borderId="1" xfId="0" applyNumberFormat="1" applyFont="1" applyFill="1" applyBorder="1" applyAlignment="1">
      <alignment horizontal="center" vertical="center"/>
    </xf>
    <xf numFmtId="0" fontId="34" fillId="8" borderId="1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B7954D90-99B8-41F5-AC0B-9BB7CDF30982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W50"/>
  <sheetViews>
    <sheetView tabSelected="1" topLeftCell="A16" zoomScale="70" zoomScaleNormal="70" zoomScaleSheetLayoutView="70" workbookViewId="0">
      <selection activeCell="Q38" sqref="Q38"/>
    </sheetView>
  </sheetViews>
  <sheetFormatPr defaultRowHeight="15" x14ac:dyDescent="0.25"/>
  <cols>
    <col min="1" max="1" width="3.7109375" customWidth="1"/>
    <col min="2" max="2" width="47.7109375" customWidth="1"/>
    <col min="3" max="3" width="28.28515625" customWidth="1"/>
    <col min="4" max="4" width="22.7109375" customWidth="1"/>
    <col min="5" max="15" width="16.7109375" customWidth="1"/>
    <col min="16" max="16" width="9.85546875" customWidth="1"/>
    <col min="17" max="17" width="9.7109375" customWidth="1"/>
    <col min="18" max="18" width="11.28515625" customWidth="1"/>
    <col min="20" max="20" width="12" bestFit="1" customWidth="1"/>
    <col min="21" max="21" width="40.140625" customWidth="1"/>
  </cols>
  <sheetData>
    <row r="2" spans="2:23" ht="26.25" customHeight="1" x14ac:dyDescent="0.25">
      <c r="B2" s="151" t="s">
        <v>0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7"/>
      <c r="Q2" s="17"/>
      <c r="R2" s="17"/>
    </row>
    <row r="3" spans="2:23" ht="26.25" customHeight="1" x14ac:dyDescent="0.25">
      <c r="B3" s="150" t="s">
        <v>48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8"/>
      <c r="Q3" s="18"/>
      <c r="R3" s="18"/>
    </row>
    <row r="4" spans="2:23" ht="26.25" customHeight="1" x14ac:dyDescent="0.25">
      <c r="B4" s="150" t="s">
        <v>49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8"/>
      <c r="Q4" s="18"/>
      <c r="R4" s="18"/>
    </row>
    <row r="5" spans="2:23" ht="24" thickBot="1" x14ac:dyDescent="0.4">
      <c r="B5" s="8"/>
      <c r="C5" s="8"/>
      <c r="D5" s="8"/>
      <c r="E5" s="131" t="s">
        <v>63</v>
      </c>
      <c r="F5" s="120"/>
      <c r="G5" s="120"/>
      <c r="H5" s="18"/>
      <c r="I5" s="8"/>
      <c r="L5" s="8"/>
      <c r="M5" s="8"/>
      <c r="N5" s="8"/>
      <c r="O5" s="8"/>
      <c r="P5" s="8"/>
      <c r="Q5" s="8"/>
      <c r="R5" s="8"/>
    </row>
    <row r="6" spans="2:23" x14ac:dyDescent="0.25">
      <c r="B6" s="1"/>
      <c r="C6" s="1"/>
      <c r="D6" s="153" t="s">
        <v>45</v>
      </c>
      <c r="E6" s="11" t="s">
        <v>1</v>
      </c>
      <c r="F6" s="10" t="s">
        <v>2</v>
      </c>
      <c r="G6" s="15" t="s">
        <v>3</v>
      </c>
      <c r="H6" s="2"/>
      <c r="I6" s="2"/>
      <c r="J6" s="1"/>
      <c r="K6" s="1"/>
      <c r="L6" s="1"/>
      <c r="M6" s="1"/>
      <c r="N6" s="1"/>
      <c r="O6" s="1"/>
    </row>
    <row r="7" spans="2:23" ht="15.75" thickBot="1" x14ac:dyDescent="0.3">
      <c r="B7" s="3"/>
      <c r="C7" s="3"/>
      <c r="D7" s="154"/>
      <c r="E7" s="19" t="s">
        <v>62</v>
      </c>
      <c r="F7" s="105"/>
      <c r="G7" s="20" t="s">
        <v>46</v>
      </c>
      <c r="H7" s="121"/>
      <c r="I7" s="4"/>
      <c r="J7" s="3"/>
      <c r="K7" s="3"/>
      <c r="L7" s="3"/>
      <c r="M7" s="3"/>
      <c r="N7" s="3"/>
      <c r="O7" s="3"/>
    </row>
    <row r="8" spans="2:23" ht="30.75" customHeight="1" x14ac:dyDescent="0.25">
      <c r="B8" s="134" t="s">
        <v>4</v>
      </c>
      <c r="C8" s="135"/>
      <c r="D8" s="135" t="s">
        <v>5</v>
      </c>
      <c r="E8" s="135" t="s">
        <v>65</v>
      </c>
      <c r="F8" s="135" t="s">
        <v>55</v>
      </c>
      <c r="G8" s="138" t="s">
        <v>52</v>
      </c>
      <c r="H8" s="135" t="s">
        <v>54</v>
      </c>
      <c r="I8" s="135" t="s">
        <v>51</v>
      </c>
      <c r="J8" s="138" t="s">
        <v>58</v>
      </c>
      <c r="K8" s="138" t="s">
        <v>59</v>
      </c>
      <c r="L8" s="135" t="s">
        <v>61</v>
      </c>
      <c r="M8" s="135" t="s">
        <v>47</v>
      </c>
      <c r="N8" s="135" t="s">
        <v>64</v>
      </c>
      <c r="O8" s="155" t="s">
        <v>50</v>
      </c>
      <c r="P8" s="139"/>
    </row>
    <row r="9" spans="2:23" ht="30.75" customHeight="1" x14ac:dyDescent="0.25">
      <c r="B9" s="136"/>
      <c r="C9" s="137"/>
      <c r="D9" s="137"/>
      <c r="E9" s="137"/>
      <c r="F9" s="137"/>
      <c r="G9" s="152"/>
      <c r="H9" s="137"/>
      <c r="I9" s="137"/>
      <c r="J9" s="137"/>
      <c r="K9" s="137"/>
      <c r="L9" s="137"/>
      <c r="M9" s="137"/>
      <c r="N9" s="137"/>
      <c r="O9" s="156"/>
      <c r="P9" s="139"/>
      <c r="T9" s="115"/>
      <c r="U9" s="115"/>
      <c r="V9" s="115"/>
      <c r="W9" s="115"/>
    </row>
    <row r="10" spans="2:23" ht="79.5" customHeight="1" x14ac:dyDescent="0.4">
      <c r="B10" s="136"/>
      <c r="C10" s="137"/>
      <c r="D10" s="137"/>
      <c r="E10" s="137"/>
      <c r="F10" s="137"/>
      <c r="G10" s="152"/>
      <c r="H10" s="137"/>
      <c r="I10" s="137"/>
      <c r="J10" s="137"/>
      <c r="K10" s="137"/>
      <c r="L10" s="137"/>
      <c r="M10" s="137"/>
      <c r="N10" s="137"/>
      <c r="O10" s="156"/>
      <c r="P10" s="139"/>
      <c r="T10" s="116"/>
      <c r="U10">
        <v>19012</v>
      </c>
      <c r="V10" s="115">
        <f>U10*3</f>
        <v>57036</v>
      </c>
      <c r="W10" s="115"/>
    </row>
    <row r="11" spans="2:23" ht="19.5" customHeight="1" x14ac:dyDescent="0.25">
      <c r="B11" s="140" t="s">
        <v>6</v>
      </c>
      <c r="C11" s="141"/>
      <c r="D11" s="111"/>
      <c r="E11" s="26" t="s">
        <v>7</v>
      </c>
      <c r="F11" s="26" t="s">
        <v>7</v>
      </c>
      <c r="G11" s="26" t="s">
        <v>7</v>
      </c>
      <c r="H11" s="26" t="s">
        <v>7</v>
      </c>
      <c r="I11" s="26" t="s">
        <v>7</v>
      </c>
      <c r="J11" s="26" t="s">
        <v>7</v>
      </c>
      <c r="K11" s="26" t="s">
        <v>60</v>
      </c>
      <c r="L11" s="26" t="s">
        <v>7</v>
      </c>
      <c r="M11" s="26" t="s">
        <v>7</v>
      </c>
      <c r="N11" s="26" t="s">
        <v>7</v>
      </c>
      <c r="O11" s="122" t="s">
        <v>7</v>
      </c>
      <c r="U11">
        <v>19141</v>
      </c>
      <c r="V11">
        <f>U11*3</f>
        <v>57423</v>
      </c>
    </row>
    <row r="12" spans="2:23" ht="17.100000000000001" customHeight="1" x14ac:dyDescent="0.25">
      <c r="B12" s="110" t="s">
        <v>8</v>
      </c>
      <c r="C12" s="21"/>
      <c r="D12" s="21"/>
      <c r="E12" s="27"/>
      <c r="F12" s="27"/>
      <c r="G12" s="22"/>
      <c r="H12" s="27"/>
      <c r="I12" s="27"/>
      <c r="J12" s="27"/>
      <c r="K12" s="27"/>
      <c r="L12" s="27"/>
      <c r="M12" s="27"/>
      <c r="N12" s="27"/>
      <c r="O12" s="70"/>
      <c r="V12">
        <f>SUM(V10:V11)</f>
        <v>114459</v>
      </c>
    </row>
    <row r="13" spans="2:23" ht="17.100000000000001" customHeight="1" x14ac:dyDescent="0.25">
      <c r="B13" s="110" t="s">
        <v>1</v>
      </c>
      <c r="C13" s="132" t="str">
        <f>E7</f>
        <v>TNC0242501</v>
      </c>
      <c r="D13" s="13"/>
      <c r="E13" s="32"/>
      <c r="F13" s="32"/>
      <c r="G13" s="23"/>
      <c r="H13" s="28"/>
      <c r="I13" s="29"/>
      <c r="J13" s="32"/>
      <c r="K13" s="32"/>
      <c r="L13" s="32"/>
      <c r="M13" s="32"/>
      <c r="N13" s="32"/>
      <c r="O13" s="71"/>
      <c r="V13">
        <v>1300</v>
      </c>
      <c r="W13" t="s">
        <v>53</v>
      </c>
    </row>
    <row r="14" spans="2:23" ht="17.100000000000001" customHeight="1" x14ac:dyDescent="0.25">
      <c r="B14" s="110" t="s">
        <v>9</v>
      </c>
      <c r="C14" s="13"/>
      <c r="D14" s="13"/>
      <c r="E14" s="32"/>
      <c r="F14" s="32"/>
      <c r="G14" s="23"/>
      <c r="H14" s="29"/>
      <c r="I14" s="29"/>
      <c r="J14" s="32"/>
      <c r="K14" s="32"/>
      <c r="L14" s="32"/>
      <c r="M14" s="32"/>
      <c r="N14" s="32"/>
      <c r="O14" s="71"/>
      <c r="V14">
        <f>G16-V12-V13</f>
        <v>4241</v>
      </c>
    </row>
    <row r="15" spans="2:23" ht="17.100000000000001" customHeight="1" x14ac:dyDescent="0.25">
      <c r="B15" s="142" t="s">
        <v>10</v>
      </c>
      <c r="C15" s="143"/>
      <c r="D15" s="111"/>
      <c r="E15" s="35"/>
      <c r="F15" s="35"/>
      <c r="G15" s="86"/>
      <c r="H15" s="87"/>
      <c r="I15" s="87"/>
      <c r="J15" s="87"/>
      <c r="K15" s="87"/>
      <c r="L15" s="87"/>
      <c r="M15" s="35"/>
      <c r="N15" s="35"/>
      <c r="O15" s="88"/>
      <c r="V15">
        <f>V14/2</f>
        <v>2120.5</v>
      </c>
    </row>
    <row r="16" spans="2:23" ht="17.100000000000001" customHeight="1" x14ac:dyDescent="0.25">
      <c r="B16" s="140" t="s">
        <v>11</v>
      </c>
      <c r="C16" s="141"/>
      <c r="D16" s="111"/>
      <c r="E16" s="89">
        <v>19151</v>
      </c>
      <c r="F16" s="89">
        <v>118577</v>
      </c>
      <c r="G16" s="89">
        <v>120000</v>
      </c>
      <c r="H16" s="90">
        <v>39660</v>
      </c>
      <c r="I16" s="90">
        <v>40000</v>
      </c>
      <c r="J16" s="91">
        <f>20000/50</f>
        <v>400</v>
      </c>
      <c r="K16" s="91">
        <v>100</v>
      </c>
      <c r="L16" s="91">
        <f>J16*3</f>
        <v>1200</v>
      </c>
      <c r="M16" s="91">
        <v>19830</v>
      </c>
      <c r="N16" s="91">
        <v>7</v>
      </c>
      <c r="O16" s="92">
        <v>3</v>
      </c>
      <c r="V16">
        <v>4980</v>
      </c>
      <c r="W16" t="s">
        <v>56</v>
      </c>
    </row>
    <row r="17" spans="2:23" ht="17.100000000000001" customHeight="1" x14ac:dyDescent="0.25">
      <c r="B17" s="136" t="s">
        <v>12</v>
      </c>
      <c r="C17" s="64" t="s">
        <v>13</v>
      </c>
      <c r="D17" s="12"/>
      <c r="E17" s="94"/>
      <c r="F17" s="94"/>
      <c r="G17" s="93"/>
      <c r="H17" s="93"/>
      <c r="I17" s="94"/>
      <c r="J17" s="94"/>
      <c r="K17" s="94"/>
      <c r="L17" s="94"/>
      <c r="M17" s="94"/>
      <c r="N17" s="94"/>
      <c r="O17" s="95"/>
      <c r="V17">
        <f>F16-V12-V16</f>
        <v>-862</v>
      </c>
    </row>
    <row r="18" spans="2:23" ht="17.100000000000001" customHeight="1" x14ac:dyDescent="0.25">
      <c r="B18" s="136"/>
      <c r="C18" s="64" t="s">
        <v>14</v>
      </c>
      <c r="D18" s="85"/>
      <c r="E18" s="96"/>
      <c r="F18" s="96"/>
      <c r="G18" s="93"/>
      <c r="H18" s="103"/>
      <c r="I18" s="104"/>
      <c r="J18" s="104"/>
      <c r="K18" s="104"/>
      <c r="L18" s="104"/>
      <c r="M18" s="103"/>
      <c r="N18" s="104"/>
      <c r="O18" s="95"/>
      <c r="R18" s="16"/>
    </row>
    <row r="19" spans="2:23" ht="17.100000000000001" customHeight="1" x14ac:dyDescent="0.25">
      <c r="B19" s="136"/>
      <c r="C19" s="64" t="s">
        <v>15</v>
      </c>
      <c r="D19" s="114"/>
      <c r="E19" s="96"/>
      <c r="F19" s="96"/>
      <c r="G19" s="93"/>
      <c r="H19" s="96"/>
      <c r="I19" s="96"/>
      <c r="J19" s="96"/>
      <c r="K19" s="96"/>
      <c r="L19" s="96"/>
      <c r="M19" s="96"/>
      <c r="N19" s="96"/>
      <c r="O19" s="95"/>
      <c r="V19">
        <v>1800</v>
      </c>
      <c r="W19" t="s">
        <v>57</v>
      </c>
    </row>
    <row r="20" spans="2:23" ht="17.100000000000001" customHeight="1" x14ac:dyDescent="0.25">
      <c r="B20" s="109"/>
      <c r="C20" s="64" t="s">
        <v>16</v>
      </c>
      <c r="D20" s="12"/>
      <c r="E20" s="96"/>
      <c r="F20" s="96"/>
      <c r="G20" s="93"/>
      <c r="H20" s="96"/>
      <c r="I20" s="97"/>
      <c r="J20" s="96"/>
      <c r="K20" s="96"/>
      <c r="L20" s="96"/>
      <c r="M20" s="96"/>
      <c r="N20" s="96"/>
      <c r="O20" s="95"/>
      <c r="Q20" s="5"/>
      <c r="V20">
        <f>I16-U10-U11-V19</f>
        <v>47</v>
      </c>
    </row>
    <row r="21" spans="2:23" ht="17.100000000000001" customHeight="1" x14ac:dyDescent="0.25">
      <c r="B21" s="9" t="s">
        <v>17</v>
      </c>
      <c r="C21" s="112"/>
      <c r="D21" s="7"/>
      <c r="E21" s="157">
        <v>19151</v>
      </c>
      <c r="F21" s="157">
        <v>57423</v>
      </c>
      <c r="G21" s="157">
        <f>57423+2120</f>
        <v>59543</v>
      </c>
      <c r="H21" s="157">
        <f>H16/2</f>
        <v>19830</v>
      </c>
      <c r="I21" s="157">
        <f>19141+24</f>
        <v>19165</v>
      </c>
      <c r="J21" s="158">
        <f>J16</f>
        <v>400</v>
      </c>
      <c r="K21" s="158">
        <v>100</v>
      </c>
      <c r="L21" s="158">
        <f>L16</f>
        <v>1200</v>
      </c>
      <c r="M21" s="157">
        <f t="shared" ref="M21:O21" si="0">M16</f>
        <v>19830</v>
      </c>
      <c r="N21" s="157">
        <f t="shared" si="0"/>
        <v>7</v>
      </c>
      <c r="O21" s="159">
        <f t="shared" si="0"/>
        <v>3</v>
      </c>
      <c r="P21" s="16"/>
      <c r="V21">
        <f>V20/2</f>
        <v>23.5</v>
      </c>
    </row>
    <row r="22" spans="2:23" ht="17.100000000000001" customHeight="1" x14ac:dyDescent="0.25">
      <c r="B22" s="9" t="s">
        <v>18</v>
      </c>
      <c r="C22" s="133"/>
      <c r="D22" s="7"/>
      <c r="E22" s="33"/>
      <c r="F22" s="33"/>
      <c r="G22" s="30"/>
      <c r="H22" s="29"/>
      <c r="I22" s="29"/>
      <c r="J22" s="33"/>
      <c r="K22" s="33"/>
      <c r="L22" s="33"/>
      <c r="M22" s="33"/>
      <c r="N22" s="33"/>
      <c r="O22" s="72"/>
    </row>
    <row r="23" spans="2:23" ht="17.100000000000001" customHeight="1" x14ac:dyDescent="0.25">
      <c r="B23" s="9" t="s">
        <v>19</v>
      </c>
      <c r="C23" s="133"/>
      <c r="D23" s="7"/>
      <c r="E23" s="34"/>
      <c r="F23" s="34"/>
      <c r="G23" s="30"/>
      <c r="H23" s="33"/>
      <c r="I23" s="33"/>
      <c r="J23" s="34"/>
      <c r="K23" s="34"/>
      <c r="L23" s="34"/>
      <c r="M23" s="34"/>
      <c r="N23" s="34"/>
      <c r="O23" s="72"/>
    </row>
    <row r="24" spans="2:23" ht="17.100000000000001" customHeight="1" x14ac:dyDescent="0.25">
      <c r="B24" s="117" t="s">
        <v>20</v>
      </c>
      <c r="C24" s="106"/>
      <c r="D24" s="14"/>
      <c r="E24" s="33">
        <f>E16-E21</f>
        <v>0</v>
      </c>
      <c r="F24" s="33">
        <f>F16-F21</f>
        <v>61154</v>
      </c>
      <c r="G24" s="33">
        <f>G16-G21</f>
        <v>60457</v>
      </c>
      <c r="H24" s="33">
        <f t="shared" ref="H24:O24" si="1">H16-H21</f>
        <v>19830</v>
      </c>
      <c r="I24" s="33">
        <f t="shared" si="1"/>
        <v>20835</v>
      </c>
      <c r="J24" s="33">
        <f t="shared" si="1"/>
        <v>0</v>
      </c>
      <c r="K24" s="33">
        <f t="shared" ref="K24" si="2">K16-K21</f>
        <v>0</v>
      </c>
      <c r="L24" s="33">
        <f t="shared" si="1"/>
        <v>0</v>
      </c>
      <c r="M24" s="33">
        <f t="shared" si="1"/>
        <v>0</v>
      </c>
      <c r="N24" s="33">
        <f t="shared" si="1"/>
        <v>0</v>
      </c>
      <c r="O24" s="73">
        <f t="shared" si="1"/>
        <v>0</v>
      </c>
    </row>
    <row r="25" spans="2:23" ht="17.100000000000001" customHeight="1" x14ac:dyDescent="0.25">
      <c r="B25" s="146" t="s">
        <v>21</v>
      </c>
      <c r="C25" s="60" t="s">
        <v>13</v>
      </c>
      <c r="D25" s="147"/>
      <c r="E25" s="118">
        <f t="shared" ref="E25:G25" si="3">+E21</f>
        <v>19151</v>
      </c>
      <c r="F25" s="118">
        <f t="shared" si="3"/>
        <v>57423</v>
      </c>
      <c r="G25" s="118">
        <f t="shared" si="3"/>
        <v>59543</v>
      </c>
      <c r="H25" s="118">
        <f>H21</f>
        <v>19830</v>
      </c>
      <c r="I25" s="118">
        <f t="shared" ref="I25:O25" si="4">I21</f>
        <v>19165</v>
      </c>
      <c r="J25" s="118">
        <f t="shared" si="4"/>
        <v>400</v>
      </c>
      <c r="K25" s="118">
        <f t="shared" ref="K25" si="5">K21</f>
        <v>100</v>
      </c>
      <c r="L25" s="118">
        <f t="shared" si="4"/>
        <v>1200</v>
      </c>
      <c r="M25" s="118">
        <f t="shared" si="4"/>
        <v>19830</v>
      </c>
      <c r="N25" s="118">
        <f t="shared" si="4"/>
        <v>7</v>
      </c>
      <c r="O25" s="123">
        <f t="shared" si="4"/>
        <v>3</v>
      </c>
    </row>
    <row r="26" spans="2:23" ht="17.100000000000001" customHeight="1" x14ac:dyDescent="0.25">
      <c r="B26" s="146"/>
      <c r="C26" s="31" t="s">
        <v>22</v>
      </c>
      <c r="D26" s="147"/>
      <c r="E26" s="38">
        <f>E25-19141</f>
        <v>10</v>
      </c>
      <c r="F26" s="38">
        <v>0</v>
      </c>
      <c r="G26" s="38">
        <f>G25-57423-10</f>
        <v>2110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74">
        <v>0</v>
      </c>
      <c r="P26" t="s">
        <v>44</v>
      </c>
    </row>
    <row r="27" spans="2:23" ht="17.100000000000001" customHeight="1" x14ac:dyDescent="0.25">
      <c r="B27" s="146"/>
      <c r="C27" s="62" t="s">
        <v>23</v>
      </c>
      <c r="D27" s="147"/>
      <c r="E27" s="24">
        <v>3.2500000000000001E-2</v>
      </c>
      <c r="F27" s="24">
        <v>0</v>
      </c>
      <c r="G27" s="24">
        <v>4.2999999999999997E-2</v>
      </c>
      <c r="H27" s="24">
        <v>0</v>
      </c>
      <c r="I27" s="24">
        <v>5.0000000000000001E-3</v>
      </c>
      <c r="J27" s="24">
        <v>5.0000000000000001E-3</v>
      </c>
      <c r="K27" s="24">
        <v>5.0000000000000001E-3</v>
      </c>
      <c r="L27" s="24">
        <v>5.0000000000000001E-3</v>
      </c>
      <c r="M27" s="24">
        <v>5.0000000000000001E-3</v>
      </c>
      <c r="N27" s="24">
        <v>5.0000000000000001E-3</v>
      </c>
      <c r="O27" s="75">
        <v>5.0000000000000001E-3</v>
      </c>
    </row>
    <row r="28" spans="2:23" ht="17.100000000000001" customHeight="1" x14ac:dyDescent="0.25">
      <c r="B28" s="146"/>
      <c r="C28" s="60" t="s">
        <v>24</v>
      </c>
      <c r="D28" s="147"/>
      <c r="E28" s="39">
        <f t="shared" ref="E28:H28" si="6">E26/E25</f>
        <v>5.2216594433711035E-4</v>
      </c>
      <c r="F28" s="39">
        <f t="shared" ref="F28" si="7">F26/F25</f>
        <v>0</v>
      </c>
      <c r="G28" s="39">
        <f t="shared" si="6"/>
        <v>3.543657524814E-2</v>
      </c>
      <c r="H28" s="39">
        <f t="shared" si="6"/>
        <v>0</v>
      </c>
      <c r="I28" s="39">
        <f t="shared" ref="I28" si="8">I26/I25</f>
        <v>0</v>
      </c>
      <c r="J28" s="39">
        <f t="shared" ref="J28:L28" si="9">J26/J25</f>
        <v>0</v>
      </c>
      <c r="K28" s="39">
        <f t="shared" ref="K28" si="10">K26/K25</f>
        <v>0</v>
      </c>
      <c r="L28" s="39">
        <f t="shared" si="9"/>
        <v>0</v>
      </c>
      <c r="M28" s="39">
        <f>M26/M25</f>
        <v>0</v>
      </c>
      <c r="N28" s="39">
        <f>N26/N25</f>
        <v>0</v>
      </c>
      <c r="O28" s="76">
        <f t="shared" ref="O28" si="11">O26/O25</f>
        <v>0</v>
      </c>
    </row>
    <row r="29" spans="2:23" ht="17.100000000000001" customHeight="1" x14ac:dyDescent="0.25">
      <c r="B29" s="146" t="s">
        <v>25</v>
      </c>
      <c r="C29" s="60" t="s">
        <v>13</v>
      </c>
      <c r="D29" s="147"/>
      <c r="E29" s="33">
        <f>+E25-E26</f>
        <v>19141</v>
      </c>
      <c r="F29" s="33">
        <f>+F25-F26</f>
        <v>57423</v>
      </c>
      <c r="G29" s="33">
        <f>G25-G26</f>
        <v>57433</v>
      </c>
      <c r="H29" s="33">
        <f>H25-H26</f>
        <v>19830</v>
      </c>
      <c r="I29" s="33">
        <f t="shared" ref="I29:N29" si="12">I25-I26</f>
        <v>19165</v>
      </c>
      <c r="J29" s="33">
        <f t="shared" si="12"/>
        <v>400</v>
      </c>
      <c r="K29" s="33">
        <f t="shared" ref="K29" si="13">K25-K26</f>
        <v>100</v>
      </c>
      <c r="L29" s="33">
        <f t="shared" si="12"/>
        <v>1200</v>
      </c>
      <c r="M29" s="33">
        <f t="shared" si="12"/>
        <v>19830</v>
      </c>
      <c r="N29" s="33">
        <f t="shared" si="12"/>
        <v>7</v>
      </c>
      <c r="O29" s="73">
        <f t="shared" ref="O29" si="14">O25-O26</f>
        <v>3</v>
      </c>
    </row>
    <row r="30" spans="2:23" ht="17.100000000000001" customHeight="1" x14ac:dyDescent="0.25">
      <c r="B30" s="146"/>
      <c r="C30" s="31" t="s">
        <v>22</v>
      </c>
      <c r="D30" s="147"/>
      <c r="E30" s="38">
        <v>0</v>
      </c>
      <c r="F30" s="38">
        <f>F29-57423</f>
        <v>0</v>
      </c>
      <c r="G30" s="38">
        <v>0</v>
      </c>
      <c r="H30" s="38">
        <f>H29-19141</f>
        <v>689</v>
      </c>
      <c r="I30" s="38">
        <f>I29-19141-2</f>
        <v>22</v>
      </c>
      <c r="J30" s="37">
        <v>0</v>
      </c>
      <c r="K30" s="38">
        <v>0</v>
      </c>
      <c r="L30" s="37">
        <v>0</v>
      </c>
      <c r="M30" s="38">
        <f>M29-19141-2</f>
        <v>687</v>
      </c>
      <c r="N30" s="38">
        <v>0</v>
      </c>
      <c r="O30" s="77">
        <v>0</v>
      </c>
      <c r="P30" s="5"/>
    </row>
    <row r="31" spans="2:23" ht="17.100000000000001" customHeight="1" x14ac:dyDescent="0.25">
      <c r="B31" s="146"/>
      <c r="C31" s="62" t="s">
        <v>23</v>
      </c>
      <c r="D31" s="147"/>
      <c r="E31" s="36">
        <v>5.0000000000000001E-3</v>
      </c>
      <c r="F31" s="36">
        <v>3.2500000000000001E-2</v>
      </c>
      <c r="G31" s="36">
        <v>5.0000000000000001E-3</v>
      </c>
      <c r="H31" s="36">
        <v>0.01</v>
      </c>
      <c r="I31" s="36">
        <v>0.03</v>
      </c>
      <c r="J31" s="36">
        <v>5.0000000000000001E-3</v>
      </c>
      <c r="K31" s="36">
        <v>5.0000000000000001E-3</v>
      </c>
      <c r="L31" s="36">
        <v>5.0000000000000001E-3</v>
      </c>
      <c r="M31" s="36">
        <v>5.0000000000000001E-3</v>
      </c>
      <c r="N31" s="36">
        <v>5.0000000000000001E-3</v>
      </c>
      <c r="O31" s="78">
        <v>5.0000000000000001E-3</v>
      </c>
    </row>
    <row r="32" spans="2:23" ht="17.100000000000001" customHeight="1" x14ac:dyDescent="0.25">
      <c r="B32" s="146"/>
      <c r="C32" s="60" t="s">
        <v>24</v>
      </c>
      <c r="D32" s="147"/>
      <c r="E32" s="40">
        <f t="shared" ref="E32" si="15">E30/E29</f>
        <v>0</v>
      </c>
      <c r="F32" s="40">
        <f t="shared" ref="F32" si="16">F30/F29</f>
        <v>0</v>
      </c>
      <c r="G32" s="39">
        <f t="shared" ref="G32:H32" si="17">G30/G29</f>
        <v>0</v>
      </c>
      <c r="H32" s="39">
        <f t="shared" si="17"/>
        <v>3.4745335350479072E-2</v>
      </c>
      <c r="I32" s="40">
        <f>I30/I29</f>
        <v>1.1479259066005741E-3</v>
      </c>
      <c r="J32" s="40">
        <f t="shared" ref="J32:L32" si="18">J30/J29</f>
        <v>0</v>
      </c>
      <c r="K32" s="40">
        <f t="shared" ref="K32" si="19">K30/K29</f>
        <v>0</v>
      </c>
      <c r="L32" s="40">
        <f t="shared" si="18"/>
        <v>0</v>
      </c>
      <c r="M32" s="40">
        <f>M30/M29</f>
        <v>3.4644478063540089E-2</v>
      </c>
      <c r="N32" s="40">
        <f t="shared" ref="N32" si="20">N30/N29</f>
        <v>0</v>
      </c>
      <c r="O32" s="76">
        <f t="shared" ref="O32" si="21">O30/O29</f>
        <v>0</v>
      </c>
    </row>
    <row r="33" spans="2:18" ht="17.100000000000001" customHeight="1" x14ac:dyDescent="0.25">
      <c r="B33" s="146" t="s">
        <v>29</v>
      </c>
      <c r="C33" s="60" t="s">
        <v>13</v>
      </c>
      <c r="D33" s="149"/>
      <c r="E33" s="41">
        <f t="shared" ref="E33:I33" si="22">E29-E30</f>
        <v>19141</v>
      </c>
      <c r="F33" s="41">
        <f t="shared" ref="F33" si="23">F29-F30</f>
        <v>57423</v>
      </c>
      <c r="G33" s="41">
        <f t="shared" si="22"/>
        <v>57433</v>
      </c>
      <c r="H33" s="33">
        <f t="shared" si="22"/>
        <v>19141</v>
      </c>
      <c r="I33" s="33">
        <f t="shared" si="22"/>
        <v>19143</v>
      </c>
      <c r="J33" s="41">
        <f t="shared" ref="J33:L33" si="24">J29-J30</f>
        <v>400</v>
      </c>
      <c r="K33" s="41">
        <f t="shared" ref="K33" si="25">K29-K30</f>
        <v>100</v>
      </c>
      <c r="L33" s="41">
        <f t="shared" si="24"/>
        <v>1200</v>
      </c>
      <c r="M33" s="41">
        <f>M29-M30</f>
        <v>19143</v>
      </c>
      <c r="N33" s="41">
        <f t="shared" ref="N33" si="26">N29-N30</f>
        <v>7</v>
      </c>
      <c r="O33" s="79">
        <f t="shared" ref="O33" si="27">O29-O30</f>
        <v>3</v>
      </c>
    </row>
    <row r="34" spans="2:18" ht="17.100000000000001" customHeight="1" x14ac:dyDescent="0.25">
      <c r="B34" s="146"/>
      <c r="C34" s="61" t="s">
        <v>30</v>
      </c>
      <c r="D34" s="149"/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77">
        <v>0</v>
      </c>
    </row>
    <row r="35" spans="2:18" ht="17.100000000000001" customHeight="1" thickBot="1" x14ac:dyDescent="0.3">
      <c r="B35" s="146"/>
      <c r="C35" s="31" t="s">
        <v>31</v>
      </c>
      <c r="D35" s="149"/>
      <c r="E35" s="37">
        <v>0</v>
      </c>
      <c r="F35" s="37">
        <v>0</v>
      </c>
      <c r="G35" s="37">
        <v>10</v>
      </c>
      <c r="H35" s="37">
        <v>0</v>
      </c>
      <c r="I35" s="37">
        <v>2</v>
      </c>
      <c r="J35" s="37">
        <v>0</v>
      </c>
      <c r="K35" s="37">
        <v>0</v>
      </c>
      <c r="L35" s="37">
        <v>2</v>
      </c>
      <c r="M35" s="37">
        <v>2</v>
      </c>
      <c r="N35" s="37">
        <v>0</v>
      </c>
      <c r="O35" s="77">
        <v>0</v>
      </c>
    </row>
    <row r="36" spans="2:18" ht="17.100000000000001" customHeight="1" x14ac:dyDescent="0.25">
      <c r="B36" s="146"/>
      <c r="C36" s="62" t="s">
        <v>23</v>
      </c>
      <c r="D36" s="149"/>
      <c r="E36" s="36">
        <v>2E-3</v>
      </c>
      <c r="F36" s="36">
        <v>2E-3</v>
      </c>
      <c r="G36" s="36">
        <v>2E-3</v>
      </c>
      <c r="H36" s="36">
        <v>2E-3</v>
      </c>
      <c r="I36" s="36">
        <v>2E-3</v>
      </c>
      <c r="J36" s="36">
        <v>2E-3</v>
      </c>
      <c r="K36" s="36">
        <v>2E-3</v>
      </c>
      <c r="L36" s="36">
        <v>2E-3</v>
      </c>
      <c r="M36" s="36">
        <v>2E-3</v>
      </c>
      <c r="N36" s="36">
        <v>2E-3</v>
      </c>
      <c r="O36" s="78">
        <v>2E-3</v>
      </c>
      <c r="P36" s="46" t="s">
        <v>26</v>
      </c>
      <c r="Q36" s="47">
        <v>20158</v>
      </c>
    </row>
    <row r="37" spans="2:18" ht="17.100000000000001" customHeight="1" x14ac:dyDescent="0.25">
      <c r="B37" s="146"/>
      <c r="C37" s="60" t="s">
        <v>24</v>
      </c>
      <c r="D37" s="149"/>
      <c r="E37" s="40">
        <f t="shared" ref="E37" si="28">(E35+E34)/E33</f>
        <v>0</v>
      </c>
      <c r="F37" s="40">
        <f t="shared" ref="F37" si="29">(F35+F34)/F33</f>
        <v>0</v>
      </c>
      <c r="G37" s="40">
        <f t="shared" ref="G37" si="30">G35/G33</f>
        <v>1.7411592638378633E-4</v>
      </c>
      <c r="H37" s="113">
        <v>0</v>
      </c>
      <c r="I37" s="40">
        <f>I32</f>
        <v>1.1479259066005741E-3</v>
      </c>
      <c r="J37" s="40">
        <f t="shared" ref="J37:L37" si="31">(J35+J34)/J33</f>
        <v>0</v>
      </c>
      <c r="K37" s="40">
        <f t="shared" ref="K37" si="32">(K35+K34)/K33</f>
        <v>0</v>
      </c>
      <c r="L37" s="40">
        <f t="shared" si="31"/>
        <v>1.6666666666666668E-3</v>
      </c>
      <c r="M37" s="40">
        <f>M35/M33</f>
        <v>1.044768322624458E-4</v>
      </c>
      <c r="N37" s="40">
        <f t="shared" ref="N37" si="33">(N35+N34)/N33</f>
        <v>0</v>
      </c>
      <c r="O37" s="80">
        <f t="shared" ref="O37" si="34">O35/O33</f>
        <v>0</v>
      </c>
      <c r="P37" s="48" t="s">
        <v>27</v>
      </c>
      <c r="Q37" s="49">
        <v>19141</v>
      </c>
    </row>
    <row r="38" spans="2:18" ht="17.100000000000001" customHeight="1" x14ac:dyDescent="0.25">
      <c r="B38" s="148" t="s">
        <v>32</v>
      </c>
      <c r="C38" s="59" t="s">
        <v>33</v>
      </c>
      <c r="D38" s="53"/>
      <c r="E38" s="25"/>
      <c r="F38" s="25"/>
      <c r="G38" s="113"/>
      <c r="H38" s="41"/>
      <c r="I38" s="41"/>
      <c r="J38" s="25"/>
      <c r="K38" s="25"/>
      <c r="L38" s="25"/>
      <c r="M38" s="25"/>
      <c r="N38" s="25"/>
      <c r="O38" s="79"/>
      <c r="P38" s="48" t="s">
        <v>28</v>
      </c>
      <c r="Q38" s="50">
        <f>Q36-Q37</f>
        <v>1017</v>
      </c>
    </row>
    <row r="39" spans="2:18" ht="17.100000000000001" customHeight="1" thickBot="1" x14ac:dyDescent="0.3">
      <c r="B39" s="148"/>
      <c r="C39" s="63" t="s">
        <v>34</v>
      </c>
      <c r="D39" s="54"/>
      <c r="E39" s="118">
        <f>E25-E26-E30-E35</f>
        <v>19141</v>
      </c>
      <c r="F39" s="118">
        <f>F25-F26-F30-F35</f>
        <v>57423</v>
      </c>
      <c r="G39" s="118">
        <f>+G25-G26-G30-G35</f>
        <v>57423</v>
      </c>
      <c r="H39" s="118">
        <f t="shared" ref="H39:N39" si="35">+H25-H26-H30-H35</f>
        <v>19141</v>
      </c>
      <c r="I39" s="118">
        <f>+I25-I26-I30-I35</f>
        <v>19141</v>
      </c>
      <c r="J39" s="118">
        <f t="shared" si="35"/>
        <v>400</v>
      </c>
      <c r="K39" s="118">
        <f t="shared" ref="K39" si="36">+K25-K26-K30-K35</f>
        <v>100</v>
      </c>
      <c r="L39" s="118">
        <f t="shared" si="35"/>
        <v>1198</v>
      </c>
      <c r="M39" s="118">
        <f>+M25-M26-M30-M35</f>
        <v>19141</v>
      </c>
      <c r="N39" s="118">
        <f t="shared" si="35"/>
        <v>7</v>
      </c>
      <c r="O39" s="123">
        <f t="shared" ref="O39" si="37">+O25-O26-O30-O35</f>
        <v>3</v>
      </c>
      <c r="P39" s="51" t="s">
        <v>16</v>
      </c>
      <c r="Q39" s="52">
        <f>Q38*100/Q36</f>
        <v>5.045143367397559</v>
      </c>
    </row>
    <row r="40" spans="2:18" ht="17.100000000000001" customHeight="1" x14ac:dyDescent="0.25">
      <c r="B40" s="146" t="s">
        <v>35</v>
      </c>
      <c r="C40" s="65" t="s">
        <v>36</v>
      </c>
      <c r="D40" s="55"/>
      <c r="E40" s="119">
        <f t="shared" ref="E40" si="38">E28+E32+E37</f>
        <v>5.2216594433711035E-4</v>
      </c>
      <c r="F40" s="119">
        <f t="shared" ref="F40" si="39">F28+F32+F37</f>
        <v>0</v>
      </c>
      <c r="G40" s="119">
        <f>G28+G32+G37</f>
        <v>3.5610691174523784E-2</v>
      </c>
      <c r="H40" s="119">
        <f>H28+H32+H37</f>
        <v>3.4745335350479072E-2</v>
      </c>
      <c r="I40" s="119">
        <f>I32+I37</f>
        <v>2.2958518132011481E-3</v>
      </c>
      <c r="J40" s="119">
        <f>J28+J32+J37</f>
        <v>0</v>
      </c>
      <c r="K40" s="119">
        <f>K28+K32+K37</f>
        <v>0</v>
      </c>
      <c r="L40" s="119">
        <f t="shared" ref="L40:N40" si="40">L28+L32+L37</f>
        <v>1.6666666666666668E-3</v>
      </c>
      <c r="M40" s="119">
        <f>M28+M32+M37</f>
        <v>3.4748954895802535E-2</v>
      </c>
      <c r="N40" s="119">
        <f t="shared" si="40"/>
        <v>0</v>
      </c>
      <c r="O40" s="124">
        <f t="shared" ref="O40" si="41">O28+O32+O37</f>
        <v>0</v>
      </c>
    </row>
    <row r="41" spans="2:18" ht="17.100000000000001" customHeight="1" x14ac:dyDescent="0.25">
      <c r="B41" s="146"/>
      <c r="C41" s="66" t="s">
        <v>37</v>
      </c>
      <c r="D41" s="56"/>
      <c r="E41" s="42">
        <f t="shared" ref="E41:I41" si="42">E26+E30+E35</f>
        <v>10</v>
      </c>
      <c r="F41" s="42">
        <f t="shared" ref="F41" si="43">F26+F30+F35</f>
        <v>0</v>
      </c>
      <c r="G41" s="42">
        <f t="shared" si="42"/>
        <v>2120</v>
      </c>
      <c r="H41" s="42">
        <f t="shared" si="42"/>
        <v>689</v>
      </c>
      <c r="I41" s="42">
        <f t="shared" si="42"/>
        <v>24</v>
      </c>
      <c r="J41" s="42">
        <f t="shared" ref="J41:M41" si="44">J26+J30+J35</f>
        <v>0</v>
      </c>
      <c r="K41" s="42">
        <f t="shared" ref="K41" si="45">K26+K30+K35</f>
        <v>0</v>
      </c>
      <c r="L41" s="42">
        <f t="shared" si="44"/>
        <v>2</v>
      </c>
      <c r="M41" s="42">
        <f t="shared" si="44"/>
        <v>689</v>
      </c>
      <c r="N41" s="42">
        <f t="shared" ref="N41" si="46">N26+N30+N35</f>
        <v>0</v>
      </c>
      <c r="O41" s="81">
        <f t="shared" ref="O41" si="47">O26+O30+O35</f>
        <v>0</v>
      </c>
    </row>
    <row r="42" spans="2:18" ht="17.100000000000001" customHeight="1" x14ac:dyDescent="0.25">
      <c r="B42" s="146" t="s">
        <v>38</v>
      </c>
      <c r="C42" s="66" t="s">
        <v>37</v>
      </c>
      <c r="D42" s="56"/>
      <c r="E42" s="43">
        <f t="shared" ref="E42:H42" si="48">E43*E25</f>
        <v>756.46450000000004</v>
      </c>
      <c r="F42" s="43">
        <f t="shared" ref="F42" si="49">F43*F25</f>
        <v>1981.0935000000002</v>
      </c>
      <c r="G42" s="43">
        <f t="shared" si="48"/>
        <v>2977.1499999999996</v>
      </c>
      <c r="H42" s="43">
        <f t="shared" si="48"/>
        <v>237.96</v>
      </c>
      <c r="I42" s="43">
        <f>I43*I29</f>
        <v>709.10500000000002</v>
      </c>
      <c r="J42" s="43">
        <f>J43*J25</f>
        <v>4.8</v>
      </c>
      <c r="K42" s="43">
        <f>K43*K25</f>
        <v>1.2</v>
      </c>
      <c r="L42" s="43">
        <f t="shared" ref="L42:N42" si="50">L43*L25</f>
        <v>14.4</v>
      </c>
      <c r="M42" s="43">
        <f t="shared" si="50"/>
        <v>237.96</v>
      </c>
      <c r="N42" s="43">
        <f t="shared" si="50"/>
        <v>8.4000000000000005E-2</v>
      </c>
      <c r="O42" s="82">
        <f t="shared" ref="O42" si="51">O43*O25</f>
        <v>3.6000000000000004E-2</v>
      </c>
    </row>
    <row r="43" spans="2:18" ht="17.100000000000001" customHeight="1" x14ac:dyDescent="0.25">
      <c r="B43" s="146"/>
      <c r="C43" s="65" t="s">
        <v>36</v>
      </c>
      <c r="D43" s="55"/>
      <c r="E43" s="107">
        <f>E27+E31+E36</f>
        <v>3.95E-2</v>
      </c>
      <c r="F43" s="107">
        <f>F27+F31+F36</f>
        <v>3.4500000000000003E-2</v>
      </c>
      <c r="G43" s="107">
        <f>G36+G31+G27</f>
        <v>4.9999999999999996E-2</v>
      </c>
      <c r="H43" s="107">
        <f t="shared" ref="H43:I43" si="52">H27+H31+H36</f>
        <v>1.2E-2</v>
      </c>
      <c r="I43" s="107">
        <f t="shared" si="52"/>
        <v>3.6999999999999998E-2</v>
      </c>
      <c r="J43" s="107">
        <f t="shared" ref="J43:M43" si="53">J27+J31+J36</f>
        <v>1.2E-2</v>
      </c>
      <c r="K43" s="107">
        <f t="shared" ref="K43" si="54">K27+K31+K36</f>
        <v>1.2E-2</v>
      </c>
      <c r="L43" s="107">
        <f t="shared" si="53"/>
        <v>1.2E-2</v>
      </c>
      <c r="M43" s="107">
        <f t="shared" si="53"/>
        <v>1.2E-2</v>
      </c>
      <c r="N43" s="107">
        <f t="shared" ref="N43" si="55">N27+N31+N36</f>
        <v>1.2E-2</v>
      </c>
      <c r="O43" s="108">
        <v>1.2E-2</v>
      </c>
    </row>
    <row r="44" spans="2:18" ht="17.100000000000001" customHeight="1" x14ac:dyDescent="0.25">
      <c r="B44" s="148" t="s">
        <v>32</v>
      </c>
      <c r="C44" s="64" t="s">
        <v>33</v>
      </c>
      <c r="D44" s="53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79"/>
    </row>
    <row r="45" spans="2:18" ht="17.100000000000001" customHeight="1" x14ac:dyDescent="0.25">
      <c r="B45" s="148"/>
      <c r="C45" s="67" t="s">
        <v>34</v>
      </c>
      <c r="D45" s="54"/>
      <c r="E45" s="44">
        <f t="shared" ref="E45" si="56">E25-E26-E30-E35-E34</f>
        <v>19141</v>
      </c>
      <c r="F45" s="44">
        <f t="shared" ref="F45" si="57">F25-F26-F30-F35-F34</f>
        <v>57423</v>
      </c>
      <c r="G45" s="44">
        <f>G39</f>
        <v>57423</v>
      </c>
      <c r="H45" s="44">
        <f>H25-H26-H30-H35-H34</f>
        <v>19141</v>
      </c>
      <c r="I45" s="44">
        <f>I29-I30-I35-I34</f>
        <v>19141</v>
      </c>
      <c r="J45" s="44">
        <f t="shared" ref="J45:M45" si="58">J25-J26-J30-J35-J34</f>
        <v>400</v>
      </c>
      <c r="K45" s="44">
        <f t="shared" ref="K45" si="59">K25-K26-K30-K35-K34</f>
        <v>100</v>
      </c>
      <c r="L45" s="44">
        <f t="shared" si="58"/>
        <v>1198</v>
      </c>
      <c r="M45" s="44">
        <f t="shared" si="58"/>
        <v>19141</v>
      </c>
      <c r="N45" s="44">
        <f t="shared" ref="N45" si="60">N25-N26-N30-N35-N34</f>
        <v>7</v>
      </c>
      <c r="O45" s="83">
        <f t="shared" ref="O45" si="61">O39</f>
        <v>3</v>
      </c>
    </row>
    <row r="46" spans="2:18" ht="17.100000000000001" customHeight="1" x14ac:dyDescent="0.25">
      <c r="B46" s="144" t="s">
        <v>39</v>
      </c>
      <c r="C46" s="68" t="s">
        <v>36</v>
      </c>
      <c r="D46" s="57"/>
      <c r="E46" s="40">
        <f t="shared" ref="E46:I46" si="62">E40-E43</f>
        <v>-3.8977834055662887E-2</v>
      </c>
      <c r="F46" s="40">
        <f t="shared" ref="F46" si="63">F40-F43</f>
        <v>-3.4500000000000003E-2</v>
      </c>
      <c r="G46" s="40">
        <f t="shared" si="62"/>
        <v>-1.4389308825476212E-2</v>
      </c>
      <c r="H46" s="40">
        <f t="shared" si="62"/>
        <v>2.2745335350479071E-2</v>
      </c>
      <c r="I46" s="40">
        <f t="shared" si="62"/>
        <v>-3.4704148186798851E-2</v>
      </c>
      <c r="J46" s="40">
        <f t="shared" ref="J46:M46" si="64">J40-J43</f>
        <v>-1.2E-2</v>
      </c>
      <c r="K46" s="40">
        <f t="shared" ref="K46" si="65">K40-K43</f>
        <v>-1.2E-2</v>
      </c>
      <c r="L46" s="40">
        <f t="shared" si="64"/>
        <v>-1.0333333333333333E-2</v>
      </c>
      <c r="M46" s="40">
        <f t="shared" si="64"/>
        <v>2.2748954895802535E-2</v>
      </c>
      <c r="N46" s="40">
        <f t="shared" ref="N46" si="66">N40-N43</f>
        <v>-1.2E-2</v>
      </c>
      <c r="O46" s="80">
        <f t="shared" ref="O46" si="67">O40-O43</f>
        <v>-1.2E-2</v>
      </c>
      <c r="R46" s="6"/>
    </row>
    <row r="47" spans="2:18" ht="17.100000000000001" customHeight="1" thickBot="1" x14ac:dyDescent="0.3">
      <c r="B47" s="145"/>
      <c r="C47" s="69" t="s">
        <v>37</v>
      </c>
      <c r="D47" s="58"/>
      <c r="E47" s="45">
        <f t="shared" ref="E47:I47" si="68">E41-E42</f>
        <v>-746.46450000000004</v>
      </c>
      <c r="F47" s="45">
        <f t="shared" ref="F47" si="69">F41-F42</f>
        <v>-1981.0935000000002</v>
      </c>
      <c r="G47" s="45">
        <f>G41-G42</f>
        <v>-857.14999999999964</v>
      </c>
      <c r="H47" s="45">
        <f t="shared" si="68"/>
        <v>451.03999999999996</v>
      </c>
      <c r="I47" s="45">
        <f t="shared" si="68"/>
        <v>-685.10500000000002</v>
      </c>
      <c r="J47" s="45">
        <f t="shared" ref="J47:N47" si="70">J41-J42</f>
        <v>-4.8</v>
      </c>
      <c r="K47" s="45">
        <f t="shared" ref="K47" si="71">K41-K42</f>
        <v>-1.2</v>
      </c>
      <c r="L47" s="45">
        <f t="shared" si="70"/>
        <v>-12.4</v>
      </c>
      <c r="M47" s="45">
        <f t="shared" si="70"/>
        <v>451.03999999999996</v>
      </c>
      <c r="N47" s="45">
        <f t="shared" si="70"/>
        <v>-8.4000000000000005E-2</v>
      </c>
      <c r="O47" s="84">
        <f t="shared" ref="O47" si="72">O41-O42</f>
        <v>-3.6000000000000004E-2</v>
      </c>
      <c r="R47" s="6"/>
    </row>
    <row r="48" spans="2:18" ht="58.5" customHeight="1" x14ac:dyDescent="0.35">
      <c r="B48" s="128" t="s">
        <v>40</v>
      </c>
      <c r="C48" s="98"/>
      <c r="D48" s="127" t="s">
        <v>69</v>
      </c>
      <c r="E48" s="99"/>
      <c r="F48" s="99"/>
      <c r="G48" s="99"/>
      <c r="H48" s="99"/>
      <c r="I48" s="100"/>
      <c r="J48" s="100"/>
      <c r="K48" s="125" t="s">
        <v>68</v>
      </c>
      <c r="L48" s="125"/>
      <c r="M48" s="129"/>
      <c r="N48" s="125" t="s">
        <v>66</v>
      </c>
      <c r="O48" s="125"/>
      <c r="P48" s="6"/>
      <c r="Q48" s="6"/>
    </row>
    <row r="49" spans="2:15" ht="52.5" customHeight="1" x14ac:dyDescent="0.35">
      <c r="B49" s="128" t="s">
        <v>41</v>
      </c>
      <c r="C49" s="102"/>
      <c r="D49" s="127" t="s">
        <v>43</v>
      </c>
      <c r="E49" s="99"/>
      <c r="F49" s="99"/>
      <c r="G49" s="99"/>
      <c r="H49" s="99"/>
      <c r="I49" s="100"/>
      <c r="J49" s="100"/>
      <c r="K49" s="125" t="s">
        <v>42</v>
      </c>
      <c r="L49" s="125"/>
      <c r="M49" s="130"/>
      <c r="N49" s="125" t="s">
        <v>67</v>
      </c>
      <c r="O49" s="126"/>
    </row>
    <row r="50" spans="2:15" ht="31.5" customHeight="1" x14ac:dyDescent="0.35">
      <c r="B50" s="101"/>
      <c r="C50" s="101"/>
      <c r="D50" s="101"/>
      <c r="E50" s="101"/>
      <c r="F50" s="101"/>
      <c r="G50" s="99"/>
      <c r="H50" s="99"/>
      <c r="I50" s="100"/>
      <c r="J50" s="100"/>
      <c r="K50" s="100"/>
      <c r="L50" s="100"/>
      <c r="M50" s="100"/>
      <c r="N50" s="100"/>
      <c r="O50" s="101"/>
    </row>
  </sheetData>
  <mergeCells count="34">
    <mergeCell ref="B4:O4"/>
    <mergeCell ref="B3:O3"/>
    <mergeCell ref="B2:O2"/>
    <mergeCell ref="H8:H10"/>
    <mergeCell ref="G8:G10"/>
    <mergeCell ref="M8:M10"/>
    <mergeCell ref="D6:D7"/>
    <mergeCell ref="O8:O10"/>
    <mergeCell ref="L8:L10"/>
    <mergeCell ref="N8:N10"/>
    <mergeCell ref="B46:B47"/>
    <mergeCell ref="B25:B28"/>
    <mergeCell ref="D25:D28"/>
    <mergeCell ref="B29:B32"/>
    <mergeCell ref="D29:D32"/>
    <mergeCell ref="B38:B39"/>
    <mergeCell ref="B33:B37"/>
    <mergeCell ref="D33:D37"/>
    <mergeCell ref="B40:B41"/>
    <mergeCell ref="B42:B43"/>
    <mergeCell ref="B44:B45"/>
    <mergeCell ref="P8:P10"/>
    <mergeCell ref="B17:B19"/>
    <mergeCell ref="B11:C11"/>
    <mergeCell ref="B15:C15"/>
    <mergeCell ref="B16:C16"/>
    <mergeCell ref="D8:D10"/>
    <mergeCell ref="K8:K10"/>
    <mergeCell ref="C22:C23"/>
    <mergeCell ref="B8:C10"/>
    <mergeCell ref="J8:J10"/>
    <mergeCell ref="I8:I10"/>
    <mergeCell ref="E8:E10"/>
    <mergeCell ref="F8:F10"/>
  </mergeCells>
  <phoneticPr fontId="9" type="noConversion"/>
  <printOptions horizontalCentered="1" verticalCentered="1"/>
  <pageMargins left="0.23622047244094491" right="0.15748031496062992" top="0.35433070866141736" bottom="0" header="0.31496062992125984" footer="0.31496062992125984"/>
  <pageSetup paperSize="9" scale="45" orientation="landscape" horizontalDpi="300" verticalDpi="300" r:id="rId1"/>
  <colBreaks count="1" manualBreakCount="1">
    <brk id="17" min="1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Ergashova Ezoza</cp:lastModifiedBy>
  <cp:lastPrinted>2024-10-28T12:56:14Z</cp:lastPrinted>
  <dcterms:created xsi:type="dcterms:W3CDTF">2015-06-05T18:17:20Z</dcterms:created>
  <dcterms:modified xsi:type="dcterms:W3CDTF">2025-09-25T08:12:48Z</dcterms:modified>
</cp:coreProperties>
</file>